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'Foaie1'!$A$1:$S$49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<sst xmlns="http://schemas.openxmlformats.org/spreadsheetml/2006/main" count="62" uniqueCount="62">
  <si>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</si>
  <si>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</si>
  <si>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</si>
  <si>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</si>
  <si>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</si>
  <si>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</si>
  <si>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</si>
  <si>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</si>
  <si>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</si>
  <si>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</si>
  <si>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</si>
  <si>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</si>
  <si>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</si>
  <si>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</si>
  <si>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</si>
  <si>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</si>
  <si>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</si>
  <si>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</si>
  <si>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</si>
  <si>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</si>
  <si>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</si>
  <si>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</si>
  <si>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</si>
  <si>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</si>
  <si>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</si>
  <si>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</si>
  <si>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</si>
  <si>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</si>
  <si>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</si>
  <si>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</si>
  <si>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</si>
  <si>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</si>
  <si>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</si>
  <si>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</si>
  <si>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</si>
  <si>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</si>
  <si>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</si>
  <si>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</si>
  <si>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</si>
  <si>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</si>
  <si>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</si>
  <si>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>ACUPUNCTURA PROCENT DIN RECUPERARE</t>
  </si>
  <si>
    <t>10,3%</t>
  </si>
  <si>
    <t>REPARTIZATA CONFORM PUNCTAJELOR PENTRU FURNIZORII DE SERVICII MEDICALE DE MEDICINA FIZICA SI DE REABILITARE</t>
  </si>
  <si>
    <t xml:space="preserve">TOTAL VAL PERSONAL 50% RECUP </t>
  </si>
  <si>
    <t>SITUATIA  SUMELOR AFERENTE PERIOADEI APRILIE-MAI 2021</t>
  </si>
  <si>
    <t>TOTAL VALOARE CONTRACT PENTRU  PERIOADA APRILIE-MAI 2021</t>
  </si>
  <si>
    <t>TOTAL BUGET ALOCAT RECUPERARE SI ACUPUNCTURA IANUARIE-MAI 2021</t>
  </si>
  <si>
    <t xml:space="preserve">TOTAL VALOARE CONTRACT IAN-MART 2021 </t>
  </si>
  <si>
    <t xml:space="preserve">TOTAL VALOARE DISPONIBILA PERIOADA APR-MAI 2021 </t>
  </si>
  <si>
    <t>VALOARE ACUPUNCTURA  IAN-MART 2021</t>
  </si>
  <si>
    <t>VALOARE ACUPUNCTURA PERIOADA APR-MAI 2021</t>
  </si>
  <si>
    <t>TOTAL VAL  ACUPUNCTURA IAN-MAI 2021 -PROCENT 10,3% DIN TOTAL BUGET RECUPERARE IAN-FEB 2021</t>
  </si>
  <si>
    <t>TOTAL VAL RECUPERARE IAN-MAI 2021 FARA ACUPUNCTURA</t>
  </si>
  <si>
    <t>VAL RECUPERARE/  IAN-MAR 2021</t>
  </si>
  <si>
    <t>VALOARE RECUPERAREPERIOADA APR-MAI 2021</t>
  </si>
  <si>
    <t>VAL PCT APARAT APR-MAI 2021</t>
  </si>
  <si>
    <t>VAL PCT PERSONAL APR-MAI 2021</t>
  </si>
  <si>
    <t>TOTAL VALOARE CONTRACT PENTRU  PERIOADA APR-MAI 2021</t>
  </si>
  <si>
    <t>VALOARE CONTRACT /LUNA/ 2 LUNI</t>
  </si>
  <si>
    <t>VALOARE CONTRACT /LUNA APRILIE</t>
  </si>
  <si>
    <t>VALOARE CONTRACT /LUNA MAI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</si>
</sst>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9.7109375" style="20" customWidth="1"/>
    <col min="2" max="2" width="54.8515625" style="20" customWidth="1"/>
    <col min="3" max="3" width="15.140625" style="20" customWidth="1"/>
    <col min="4" max="4" width="12.00390625" style="20" customWidth="1"/>
    <col min="5" max="5" width="12.8515625" style="20" customWidth="1"/>
    <col min="6" max="6" width="9.421875" style="20" customWidth="1"/>
    <col min="7" max="7" width="11.00390625" style="20" customWidth="1"/>
    <col min="8" max="9" width="11.421875" style="20" customWidth="1"/>
    <col min="10" max="10" width="16.28125" style="20" customWidth="1"/>
    <col min="11" max="11" width="13.140625" style="20" customWidth="1"/>
    <col min="12" max="12" width="11.57421875" style="20" customWidth="1"/>
    <col min="13" max="13" width="12.8515625" style="20" customWidth="1"/>
    <col min="14" max="14" width="14.28125" style="20" customWidth="1"/>
    <col min="15" max="15" width="0.13671875" style="20" customWidth="1"/>
    <col min="16" max="16" width="13.421875" style="20" customWidth="1"/>
    <col min="17" max="17" width="16.57421875" style="20" hidden="1" customWidth="1"/>
    <col min="18" max="18" width="13.57421875" style="20" customWidth="1"/>
    <col min="19" max="19" width="14.57421875" style="20" customWidth="1"/>
    <col min="20" max="20" width="13.140625" style="20" customWidth="1"/>
    <col min="21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6" ht="18">
      <c r="A2" s="17"/>
      <c r="B2" s="7"/>
      <c r="C2" s="7"/>
      <c r="D2" s="7"/>
      <c r="E2" s="7"/>
      <c r="F2" s="18"/>
    </row>
    <row r="3" spans="1:8" s="7" customFormat="1" ht="18">
      <c r="A3" s="20"/>
      <c r="B3" s="20"/>
      <c r="C3" s="18" t="s">
        <v>45</v>
      </c>
      <c r="D3" s="17"/>
      <c r="E3" s="17"/>
      <c r="H3" s="17"/>
    </row>
    <row r="4" spans="2:8" s="7" customFormat="1" ht="18">
      <c r="B4" s="18" t="s">
        <v>43</v>
      </c>
      <c r="C4" s="20"/>
      <c r="D4" s="20"/>
      <c r="E4" s="20"/>
      <c r="F4" s="20"/>
      <c r="G4" s="20"/>
      <c r="H4" s="17"/>
    </row>
    <row r="5" spans="1:15" s="7" customFormat="1" ht="18">
      <c r="A5" s="17"/>
      <c r="B5" s="28"/>
      <c r="C5" s="18"/>
      <c r="D5" s="20"/>
      <c r="E5" s="20"/>
      <c r="F5" s="20"/>
      <c r="G5" s="20"/>
      <c r="H5" s="17"/>
      <c r="I5" s="17"/>
      <c r="O5" s="24"/>
    </row>
    <row r="6" spans="1:19" s="7" customFormat="1" ht="87.75" customHeight="1">
      <c r="A6" s="23" t="s">
        <v>6</v>
      </c>
      <c r="B6" s="2" t="s">
        <v>0</v>
      </c>
      <c r="C6" s="2" t="s">
        <v>8</v>
      </c>
      <c r="D6" s="2" t="s">
        <v>34</v>
      </c>
      <c r="E6" s="2" t="s">
        <v>35</v>
      </c>
      <c r="F6" s="2" t="s">
        <v>11</v>
      </c>
      <c r="G6" s="2" t="s">
        <v>33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28</v>
      </c>
      <c r="N6" s="2" t="s">
        <v>29</v>
      </c>
      <c r="O6" s="2" t="s">
        <v>58</v>
      </c>
      <c r="P6" s="2" t="s">
        <v>46</v>
      </c>
      <c r="Q6" s="2" t="s">
        <v>59</v>
      </c>
      <c r="R6" s="2" t="s">
        <v>60</v>
      </c>
      <c r="S6" s="2" t="s">
        <v>61</v>
      </c>
    </row>
    <row r="7" spans="1:19" ht="53.25" customHeight="1">
      <c r="A7" s="2">
        <v>1</v>
      </c>
      <c r="B7" s="1" t="s">
        <v>36</v>
      </c>
      <c r="C7" s="1">
        <v>160</v>
      </c>
      <c r="D7" s="1">
        <f>39+16</f>
        <v>55</v>
      </c>
      <c r="E7" s="1">
        <f>45-2.5+5-5-20+2.5+2.5</f>
        <v>27.5</v>
      </c>
      <c r="F7" s="19">
        <f aca="true" t="shared" si="0" ref="F7:F18">E7/D7</f>
        <v>0.5</v>
      </c>
      <c r="G7" s="19">
        <f>F7*C7</f>
        <v>80</v>
      </c>
      <c r="H7" s="1">
        <f>60-20</f>
        <v>40</v>
      </c>
      <c r="I7" s="1">
        <v>0</v>
      </c>
      <c r="J7" s="19">
        <f>G7+H7</f>
        <v>120</v>
      </c>
      <c r="K7" s="1">
        <f>107+4.38-2.38-26.5-30+3.75+3.75</f>
        <v>60</v>
      </c>
      <c r="L7" s="19">
        <f>J7+K7</f>
        <v>180</v>
      </c>
      <c r="M7" s="19">
        <f aca="true" t="shared" si="1" ref="M7:M31">J7*$D$47</f>
        <v>6773.397396423962</v>
      </c>
      <c r="N7" s="19">
        <f aca="true" t="shared" si="2" ref="N7:N31">K7*$D$49</f>
        <v>6394.273900672639</v>
      </c>
      <c r="O7" s="19">
        <f aca="true" t="shared" si="3" ref="O7:O31">M7+N7</f>
        <v>13167.6712970966</v>
      </c>
      <c r="P7" s="19">
        <f>ROUND(O7,2)</f>
        <v>13167.67</v>
      </c>
      <c r="Q7" s="19">
        <f>P7/2</f>
        <v>6583.835</v>
      </c>
      <c r="R7" s="19">
        <v>6583.83</v>
      </c>
      <c r="S7" s="19">
        <f>P7-R7</f>
        <v>6583.84</v>
      </c>
    </row>
    <row r="8" spans="1:19" ht="33" customHeight="1">
      <c r="A8" s="2">
        <v>2</v>
      </c>
      <c r="B8" s="1" t="s">
        <v>13</v>
      </c>
      <c r="C8" s="1">
        <f>185-6</f>
        <v>179</v>
      </c>
      <c r="D8" s="1">
        <v>64</v>
      </c>
      <c r="E8" s="1">
        <v>70</v>
      </c>
      <c r="F8" s="19">
        <f t="shared" si="0"/>
        <v>1.09375</v>
      </c>
      <c r="G8" s="19">
        <f>C8</f>
        <v>179</v>
      </c>
      <c r="H8" s="1">
        <v>60</v>
      </c>
      <c r="I8" s="1">
        <v>0</v>
      </c>
      <c r="J8" s="19">
        <f aca="true" t="shared" si="4" ref="J8:J14">G8+H8+I8</f>
        <v>239</v>
      </c>
      <c r="K8" s="1">
        <f>125+3.59</f>
        <v>128.59</v>
      </c>
      <c r="L8" s="19">
        <f aca="true" t="shared" si="5" ref="L8:L31">J8+K8</f>
        <v>367.59000000000003</v>
      </c>
      <c r="M8" s="19">
        <f t="shared" si="1"/>
        <v>13490.349814544392</v>
      </c>
      <c r="N8" s="19">
        <f t="shared" si="2"/>
        <v>13703.994681458244</v>
      </c>
      <c r="O8" s="19">
        <f t="shared" si="3"/>
        <v>27194.344496002635</v>
      </c>
      <c r="P8" s="19">
        <f aca="true" t="shared" si="6" ref="P8:P30">ROUND(O8,2)</f>
        <v>27194.34</v>
      </c>
      <c r="Q8" s="19">
        <f aca="true" t="shared" si="7" ref="Q8:Q31">P8/2</f>
        <v>13597.17</v>
      </c>
      <c r="R8" s="19">
        <v>13597.17</v>
      </c>
      <c r="S8" s="19">
        <f aca="true" t="shared" si="8" ref="S8:S31">P8-R8</f>
        <v>13597.17</v>
      </c>
    </row>
    <row r="9" spans="1:19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4"/>
        <v>175</v>
      </c>
      <c r="K9" s="1">
        <f>63+2</f>
        <v>65</v>
      </c>
      <c r="L9" s="19">
        <f t="shared" si="5"/>
        <v>240</v>
      </c>
      <c r="M9" s="19">
        <f t="shared" si="1"/>
        <v>9877.871203118279</v>
      </c>
      <c r="N9" s="19">
        <f t="shared" si="2"/>
        <v>6927.130059062025</v>
      </c>
      <c r="O9" s="19">
        <f t="shared" si="3"/>
        <v>16805.001262180303</v>
      </c>
      <c r="P9" s="19">
        <f t="shared" si="6"/>
        <v>16805</v>
      </c>
      <c r="Q9" s="19">
        <f t="shared" si="7"/>
        <v>8402.5</v>
      </c>
      <c r="R9" s="19">
        <v>8402.5</v>
      </c>
      <c r="S9" s="19">
        <f t="shared" si="8"/>
        <v>8402.5</v>
      </c>
    </row>
    <row r="10" spans="1:19" ht="47.25" customHeight="1">
      <c r="A10" s="2">
        <v>4</v>
      </c>
      <c r="B10" s="1" t="s">
        <v>1</v>
      </c>
      <c r="C10" s="1">
        <f>138-20-20-8+20+10</f>
        <v>120</v>
      </c>
      <c r="D10" s="1">
        <f>52-8-8-2+8+3</f>
        <v>45</v>
      </c>
      <c r="E10" s="1">
        <f>52-10+8+10</f>
        <v>60</v>
      </c>
      <c r="F10" s="19">
        <f t="shared" si="0"/>
        <v>1.3333333333333333</v>
      </c>
      <c r="G10" s="19">
        <f>C10</f>
        <v>120</v>
      </c>
      <c r="H10" s="1">
        <v>60</v>
      </c>
      <c r="I10" s="1">
        <v>16</v>
      </c>
      <c r="J10" s="19">
        <f t="shared" si="4"/>
        <v>196</v>
      </c>
      <c r="K10" s="1">
        <f>80+2+15-10+10-10+15</f>
        <v>102</v>
      </c>
      <c r="L10" s="19">
        <f t="shared" si="5"/>
        <v>298</v>
      </c>
      <c r="M10" s="19">
        <f t="shared" si="1"/>
        <v>11063.215747492472</v>
      </c>
      <c r="N10" s="19">
        <f t="shared" si="2"/>
        <v>10870.265631143486</v>
      </c>
      <c r="O10" s="19">
        <f t="shared" si="3"/>
        <v>21933.48137863596</v>
      </c>
      <c r="P10" s="19">
        <f t="shared" si="6"/>
        <v>21933.48</v>
      </c>
      <c r="Q10" s="19">
        <f t="shared" si="7"/>
        <v>10966.74</v>
      </c>
      <c r="R10" s="19">
        <v>10966.74</v>
      </c>
      <c r="S10" s="19">
        <f t="shared" si="8"/>
        <v>10966.74</v>
      </c>
    </row>
    <row r="11" spans="1:19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4"/>
        <v>110</v>
      </c>
      <c r="K11" s="1">
        <f>45+2</f>
        <v>47</v>
      </c>
      <c r="L11" s="19">
        <f t="shared" si="5"/>
        <v>157</v>
      </c>
      <c r="M11" s="19">
        <f t="shared" si="1"/>
        <v>6208.947613388632</v>
      </c>
      <c r="N11" s="19">
        <f t="shared" si="2"/>
        <v>5008.847888860233</v>
      </c>
      <c r="O11" s="19">
        <f t="shared" si="3"/>
        <v>11217.795502248864</v>
      </c>
      <c r="P11" s="19">
        <f t="shared" si="6"/>
        <v>11217.8</v>
      </c>
      <c r="Q11" s="19">
        <f t="shared" si="7"/>
        <v>5608.9</v>
      </c>
      <c r="R11" s="19">
        <v>5608.9</v>
      </c>
      <c r="S11" s="19">
        <f t="shared" si="8"/>
        <v>5608.9</v>
      </c>
    </row>
    <row r="12" spans="1:19" ht="37.5" customHeight="1">
      <c r="A12" s="2">
        <v>6</v>
      </c>
      <c r="B12" s="1" t="s">
        <v>26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1"/>
        <v>13264.56990133026</v>
      </c>
      <c r="N12" s="19">
        <f t="shared" si="2"/>
        <v>13108.26149637891</v>
      </c>
      <c r="O12" s="19">
        <f t="shared" si="3"/>
        <v>26372.831397709168</v>
      </c>
      <c r="P12" s="19">
        <f t="shared" si="6"/>
        <v>26372.83</v>
      </c>
      <c r="Q12" s="19">
        <f t="shared" si="7"/>
        <v>13186.415</v>
      </c>
      <c r="R12" s="19">
        <v>13186.41</v>
      </c>
      <c r="S12" s="19">
        <f t="shared" si="8"/>
        <v>13186.420000000002</v>
      </c>
    </row>
    <row r="13" spans="1:19" ht="30.75" customHeight="1">
      <c r="A13" s="2">
        <v>7</v>
      </c>
      <c r="B13" s="1" t="s">
        <v>2</v>
      </c>
      <c r="C13" s="1">
        <f>70-4-4-2+20</f>
        <v>80</v>
      </c>
      <c r="D13" s="1">
        <f>41-8-5-2+8</f>
        <v>34</v>
      </c>
      <c r="E13" s="1">
        <f>50-5</f>
        <v>45</v>
      </c>
      <c r="F13" s="19">
        <f t="shared" si="0"/>
        <v>1.3235294117647058</v>
      </c>
      <c r="G13" s="19">
        <f>C13</f>
        <v>80</v>
      </c>
      <c r="H13" s="1">
        <v>40</v>
      </c>
      <c r="I13" s="1">
        <v>0</v>
      </c>
      <c r="J13" s="19">
        <f t="shared" si="4"/>
        <v>120</v>
      </c>
      <c r="K13" s="1">
        <f>97.5+2-15</f>
        <v>84.5</v>
      </c>
      <c r="L13" s="19">
        <f t="shared" si="5"/>
        <v>204.5</v>
      </c>
      <c r="M13" s="19">
        <f t="shared" si="1"/>
        <v>6773.397396423962</v>
      </c>
      <c r="N13" s="19">
        <f t="shared" si="2"/>
        <v>9005.269076780633</v>
      </c>
      <c r="O13" s="19">
        <f t="shared" si="3"/>
        <v>15778.666473204594</v>
      </c>
      <c r="P13" s="19">
        <f t="shared" si="6"/>
        <v>15778.67</v>
      </c>
      <c r="Q13" s="19">
        <f t="shared" si="7"/>
        <v>7889.335</v>
      </c>
      <c r="R13" s="19">
        <v>7889.33</v>
      </c>
      <c r="S13" s="19">
        <f t="shared" si="8"/>
        <v>7889.34</v>
      </c>
    </row>
    <row r="14" spans="1:19" ht="42" customHeight="1">
      <c r="A14" s="2">
        <v>8</v>
      </c>
      <c r="B14" s="1" t="s">
        <v>20</v>
      </c>
      <c r="C14" s="1">
        <f>120+40</f>
        <v>160</v>
      </c>
      <c r="D14" s="1">
        <v>65</v>
      </c>
      <c r="E14" s="1">
        <f>67.5-10+7.5</f>
        <v>65</v>
      </c>
      <c r="F14" s="19">
        <f t="shared" si="0"/>
        <v>1</v>
      </c>
      <c r="G14" s="19">
        <f>F14*C14</f>
        <v>160</v>
      </c>
      <c r="H14" s="1">
        <v>40</v>
      </c>
      <c r="I14" s="1">
        <v>0</v>
      </c>
      <c r="J14" s="19">
        <f t="shared" si="4"/>
        <v>200</v>
      </c>
      <c r="K14" s="1">
        <f>98+2-10+15+2-10+2.5+22.5-15+7.5-10+18+1</f>
        <v>123.5</v>
      </c>
      <c r="L14" s="19">
        <f>J14+K14</f>
        <v>323.5</v>
      </c>
      <c r="M14" s="19">
        <f t="shared" si="1"/>
        <v>11288.995660706603</v>
      </c>
      <c r="N14" s="19">
        <f t="shared" si="2"/>
        <v>13161.547112217848</v>
      </c>
      <c r="O14" s="19">
        <f t="shared" si="3"/>
        <v>24450.54277292445</v>
      </c>
      <c r="P14" s="19">
        <f t="shared" si="6"/>
        <v>24450.54</v>
      </c>
      <c r="Q14" s="19">
        <f t="shared" si="7"/>
        <v>12225.27</v>
      </c>
      <c r="R14" s="19">
        <v>12225.27</v>
      </c>
      <c r="S14" s="19">
        <f t="shared" si="8"/>
        <v>12225.27</v>
      </c>
    </row>
    <row r="15" spans="1:19" ht="39.75" customHeight="1">
      <c r="A15" s="2">
        <v>9</v>
      </c>
      <c r="B15" s="1" t="s">
        <v>5</v>
      </c>
      <c r="C15" s="1">
        <f>77-4-2-2+20</f>
        <v>89</v>
      </c>
      <c r="D15" s="1">
        <f>33+8</f>
        <v>41</v>
      </c>
      <c r="E15" s="1">
        <f>40-10</f>
        <v>30</v>
      </c>
      <c r="F15" s="19">
        <f t="shared" si="0"/>
        <v>0.7317073170731707</v>
      </c>
      <c r="G15" s="19">
        <f>C15*0.73</f>
        <v>64.97</v>
      </c>
      <c r="H15" s="1">
        <v>40</v>
      </c>
      <c r="I15" s="1">
        <v>0</v>
      </c>
      <c r="J15" s="19">
        <f aca="true" t="shared" si="9" ref="J15:J25">G15+H15+I15</f>
        <v>104.97</v>
      </c>
      <c r="K15" s="1">
        <f>60+2+18+15+2.38-15</f>
        <v>82.38</v>
      </c>
      <c r="L15" s="19">
        <f t="shared" si="5"/>
        <v>187.35</v>
      </c>
      <c r="M15" s="19">
        <f t="shared" si="1"/>
        <v>5925.029372521861</v>
      </c>
      <c r="N15" s="19">
        <f t="shared" si="2"/>
        <v>8779.338065623531</v>
      </c>
      <c r="O15" s="19">
        <f t="shared" si="3"/>
        <v>14704.367438145393</v>
      </c>
      <c r="P15" s="19">
        <f t="shared" si="6"/>
        <v>14704.37</v>
      </c>
      <c r="Q15" s="19">
        <f t="shared" si="7"/>
        <v>7352.185</v>
      </c>
      <c r="R15" s="19">
        <v>7352.18</v>
      </c>
      <c r="S15" s="19">
        <f t="shared" si="8"/>
        <v>7352.1900000000005</v>
      </c>
    </row>
    <row r="16" spans="1:19" ht="39" customHeight="1">
      <c r="A16" s="2">
        <v>10</v>
      </c>
      <c r="B16" s="1" t="s">
        <v>17</v>
      </c>
      <c r="C16" s="1">
        <f>120-4</f>
        <v>116</v>
      </c>
      <c r="D16" s="1">
        <v>40</v>
      </c>
      <c r="E16" s="1">
        <f>30-10+5-5+5</f>
        <v>25</v>
      </c>
      <c r="F16" s="19">
        <f t="shared" si="0"/>
        <v>0.625</v>
      </c>
      <c r="G16" s="19">
        <f>C16*0.63</f>
        <v>73.08</v>
      </c>
      <c r="H16" s="1">
        <v>40</v>
      </c>
      <c r="I16" s="1">
        <v>0</v>
      </c>
      <c r="J16" s="19">
        <f t="shared" si="9"/>
        <v>113.08</v>
      </c>
      <c r="K16" s="1">
        <f>69.5+2-15+5-9-7.5+7.5</f>
        <v>52.5</v>
      </c>
      <c r="L16" s="19">
        <f t="shared" si="5"/>
        <v>165.57999999999998</v>
      </c>
      <c r="M16" s="19">
        <f t="shared" si="1"/>
        <v>6382.798146563514</v>
      </c>
      <c r="N16" s="19">
        <f t="shared" si="2"/>
        <v>5594.989663088559</v>
      </c>
      <c r="O16" s="19">
        <f t="shared" si="3"/>
        <v>11977.787809652073</v>
      </c>
      <c r="P16" s="19">
        <f t="shared" si="6"/>
        <v>11977.79</v>
      </c>
      <c r="Q16" s="19">
        <f t="shared" si="7"/>
        <v>5988.895</v>
      </c>
      <c r="R16" s="19">
        <v>5988.89</v>
      </c>
      <c r="S16" s="19">
        <f t="shared" si="8"/>
        <v>5988.900000000001</v>
      </c>
    </row>
    <row r="17" spans="1:19" ht="32.25" customHeight="1">
      <c r="A17" s="2">
        <v>11</v>
      </c>
      <c r="B17" s="1" t="s">
        <v>24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5080.048047317971</v>
      </c>
      <c r="N17" s="19">
        <f t="shared" si="2"/>
        <v>5008.847888860233</v>
      </c>
      <c r="O17" s="19">
        <f t="shared" si="3"/>
        <v>10088.895936178204</v>
      </c>
      <c r="P17" s="19">
        <f t="shared" si="6"/>
        <v>10088.9</v>
      </c>
      <c r="Q17" s="19">
        <f t="shared" si="7"/>
        <v>5044.45</v>
      </c>
      <c r="R17" s="19">
        <v>5044.45</v>
      </c>
      <c r="S17" s="19">
        <f t="shared" si="8"/>
        <v>5044.45</v>
      </c>
    </row>
    <row r="18" spans="1:19" ht="38.25" customHeight="1">
      <c r="A18" s="2">
        <v>12</v>
      </c>
      <c r="B18" s="1" t="s">
        <v>23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9"/>
        <v>132</v>
      </c>
      <c r="K18" s="1">
        <f>50.5+2</f>
        <v>52.5</v>
      </c>
      <c r="L18" s="19">
        <f>J18+K18</f>
        <v>184.5</v>
      </c>
      <c r="M18" s="19">
        <f t="shared" si="1"/>
        <v>7450.737136066358</v>
      </c>
      <c r="N18" s="19">
        <f t="shared" si="2"/>
        <v>5594.989663088559</v>
      </c>
      <c r="O18" s="19">
        <f t="shared" si="3"/>
        <v>13045.726799154916</v>
      </c>
      <c r="P18" s="19">
        <f t="shared" si="6"/>
        <v>13045.73</v>
      </c>
      <c r="Q18" s="19">
        <f t="shared" si="7"/>
        <v>6522.865</v>
      </c>
      <c r="R18" s="19">
        <v>6522.86</v>
      </c>
      <c r="S18" s="19">
        <f t="shared" si="8"/>
        <v>6522.87</v>
      </c>
    </row>
    <row r="19" spans="1:19" ht="37.5" customHeight="1">
      <c r="A19" s="2">
        <v>13</v>
      </c>
      <c r="B19" s="1" t="s">
        <v>25</v>
      </c>
      <c r="C19" s="1">
        <f>105+15+10</f>
        <v>130</v>
      </c>
      <c r="D19" s="1">
        <v>35</v>
      </c>
      <c r="E19" s="1">
        <f>20+10</f>
        <v>30</v>
      </c>
      <c r="F19" s="19">
        <f>E19/D19</f>
        <v>0.8571428571428571</v>
      </c>
      <c r="G19" s="19">
        <f>C19*F19</f>
        <v>111.42857142857142</v>
      </c>
      <c r="H19" s="1">
        <v>40</v>
      </c>
      <c r="I19" s="1">
        <v>0</v>
      </c>
      <c r="J19" s="19">
        <f>G19+H19+I19</f>
        <v>151.42857142857142</v>
      </c>
      <c r="K19" s="1">
        <f>48+2+15</f>
        <v>65</v>
      </c>
      <c r="L19" s="19">
        <f>J19+K19</f>
        <v>216.42857142857142</v>
      </c>
      <c r="M19" s="19">
        <f t="shared" si="1"/>
        <v>8547.382428820714</v>
      </c>
      <c r="N19" s="19">
        <f t="shared" si="2"/>
        <v>6927.130059062025</v>
      </c>
      <c r="O19" s="19">
        <f t="shared" si="3"/>
        <v>15474.51248788274</v>
      </c>
      <c r="P19" s="19">
        <f t="shared" si="6"/>
        <v>15474.51</v>
      </c>
      <c r="Q19" s="19">
        <f t="shared" si="7"/>
        <v>7737.255</v>
      </c>
      <c r="R19" s="19">
        <v>7737.26</v>
      </c>
      <c r="S19" s="19">
        <f t="shared" si="8"/>
        <v>7737.25</v>
      </c>
    </row>
    <row r="20" spans="1:19" ht="46.5" customHeight="1">
      <c r="A20" s="2">
        <v>14</v>
      </c>
      <c r="B20" s="1" t="s">
        <v>21</v>
      </c>
      <c r="C20" s="1">
        <v>60</v>
      </c>
      <c r="D20" s="1">
        <v>24</v>
      </c>
      <c r="E20" s="1">
        <f>40-10</f>
        <v>30</v>
      </c>
      <c r="F20" s="19">
        <f aca="true" t="shared" si="10" ref="F20:F31">E20/D20</f>
        <v>1.25</v>
      </c>
      <c r="G20" s="19">
        <f>C20</f>
        <v>60</v>
      </c>
      <c r="H20" s="1">
        <v>40</v>
      </c>
      <c r="I20" s="1">
        <v>0</v>
      </c>
      <c r="J20" s="19">
        <f t="shared" si="9"/>
        <v>100</v>
      </c>
      <c r="K20" s="1">
        <f>70+2-15</f>
        <v>57</v>
      </c>
      <c r="L20" s="19">
        <f>J20+K20</f>
        <v>157</v>
      </c>
      <c r="M20" s="19">
        <f t="shared" si="1"/>
        <v>5644.497830353302</v>
      </c>
      <c r="N20" s="19">
        <f t="shared" si="2"/>
        <v>6074.560205639006</v>
      </c>
      <c r="O20" s="19">
        <f t="shared" si="3"/>
        <v>11719.058035992308</v>
      </c>
      <c r="P20" s="19">
        <f t="shared" si="6"/>
        <v>11719.06</v>
      </c>
      <c r="Q20" s="19">
        <f t="shared" si="7"/>
        <v>5859.53</v>
      </c>
      <c r="R20" s="19">
        <v>5859.53</v>
      </c>
      <c r="S20" s="19">
        <f t="shared" si="8"/>
        <v>5859.53</v>
      </c>
    </row>
    <row r="21" spans="1:19" ht="42.75" customHeight="1">
      <c r="A21" s="2">
        <v>15</v>
      </c>
      <c r="B21" s="1" t="s">
        <v>30</v>
      </c>
      <c r="C21" s="1">
        <f>395-28-4-2-2-4+20+20</f>
        <v>395</v>
      </c>
      <c r="D21" s="1">
        <f>150-32+16</f>
        <v>134</v>
      </c>
      <c r="E21" s="1">
        <f>230-10</f>
        <v>220</v>
      </c>
      <c r="F21" s="19">
        <f t="shared" si="10"/>
        <v>1.6417910447761195</v>
      </c>
      <c r="G21" s="19">
        <f>C21</f>
        <v>395</v>
      </c>
      <c r="H21" s="1">
        <v>40</v>
      </c>
      <c r="I21" s="1">
        <v>0</v>
      </c>
      <c r="J21" s="19">
        <f t="shared" si="9"/>
        <v>435</v>
      </c>
      <c r="K21" s="1">
        <f>330.72+4.06-10-40+20-20-10-0.56+9.71</f>
        <v>283.93</v>
      </c>
      <c r="L21" s="19">
        <f t="shared" si="5"/>
        <v>718.9300000000001</v>
      </c>
      <c r="M21" s="19">
        <f t="shared" si="1"/>
        <v>24553.565562036863</v>
      </c>
      <c r="N21" s="19">
        <f t="shared" si="2"/>
        <v>30258.769810299706</v>
      </c>
      <c r="O21" s="19">
        <f t="shared" si="3"/>
        <v>54812.33537233657</v>
      </c>
      <c r="P21" s="19">
        <f t="shared" si="6"/>
        <v>54812.34</v>
      </c>
      <c r="Q21" s="19">
        <f t="shared" si="7"/>
        <v>27406.17</v>
      </c>
      <c r="R21" s="19">
        <v>27406.17</v>
      </c>
      <c r="S21" s="19">
        <f t="shared" si="8"/>
        <v>27406.17</v>
      </c>
    </row>
    <row r="22" spans="1:19" ht="35.25" customHeight="1">
      <c r="A22" s="2">
        <v>16</v>
      </c>
      <c r="B22" s="1" t="s">
        <v>3</v>
      </c>
      <c r="C22" s="1">
        <f>78-4</f>
        <v>74</v>
      </c>
      <c r="D22" s="1">
        <f>38</f>
        <v>38</v>
      </c>
      <c r="E22" s="1">
        <f>60-10+10+2-10+30-20-10</f>
        <v>52</v>
      </c>
      <c r="F22" s="19">
        <f t="shared" si="10"/>
        <v>1.368421052631579</v>
      </c>
      <c r="G22" s="19">
        <f>C22</f>
        <v>74</v>
      </c>
      <c r="H22" s="1">
        <f>60</f>
        <v>60</v>
      </c>
      <c r="I22" s="1">
        <f>40</f>
        <v>40</v>
      </c>
      <c r="J22" s="19">
        <f t="shared" si="9"/>
        <v>174</v>
      </c>
      <c r="K22" s="1">
        <f>97-10</f>
        <v>87</v>
      </c>
      <c r="L22" s="19">
        <f t="shared" si="5"/>
        <v>261</v>
      </c>
      <c r="M22" s="19">
        <f t="shared" si="1"/>
        <v>9821.426224814746</v>
      </c>
      <c r="N22" s="19">
        <f t="shared" si="2"/>
        <v>9271.697155975326</v>
      </c>
      <c r="O22" s="19">
        <f t="shared" si="3"/>
        <v>19093.12338079007</v>
      </c>
      <c r="P22" s="19">
        <f t="shared" si="6"/>
        <v>19093.12</v>
      </c>
      <c r="Q22" s="19">
        <f t="shared" si="7"/>
        <v>9546.56</v>
      </c>
      <c r="R22" s="19">
        <v>9546.56</v>
      </c>
      <c r="S22" s="19">
        <f t="shared" si="8"/>
        <v>9546.56</v>
      </c>
    </row>
    <row r="23" spans="1:19" ht="35.25" customHeight="1">
      <c r="A23" s="2">
        <v>17</v>
      </c>
      <c r="B23" s="1" t="s">
        <v>39</v>
      </c>
      <c r="C23" s="1">
        <v>90</v>
      </c>
      <c r="D23" s="1">
        <v>28</v>
      </c>
      <c r="E23" s="1">
        <v>25</v>
      </c>
      <c r="F23" s="19">
        <f t="shared" si="10"/>
        <v>0.8928571428571429</v>
      </c>
      <c r="G23" s="19">
        <f>F23*C23</f>
        <v>80.35714285714286</v>
      </c>
      <c r="H23" s="1">
        <v>40</v>
      </c>
      <c r="I23" s="1">
        <v>0</v>
      </c>
      <c r="J23" s="19">
        <f t="shared" si="9"/>
        <v>120.35714285714286</v>
      </c>
      <c r="K23" s="1">
        <f>54+2-1+9</f>
        <v>64</v>
      </c>
      <c r="L23" s="19">
        <f t="shared" si="5"/>
        <v>184.35714285714286</v>
      </c>
      <c r="M23" s="19">
        <f t="shared" si="1"/>
        <v>6793.556317246653</v>
      </c>
      <c r="N23" s="19">
        <f t="shared" si="2"/>
        <v>6820.558827384148</v>
      </c>
      <c r="O23" s="19">
        <f t="shared" si="3"/>
        <v>13614.1151446308</v>
      </c>
      <c r="P23" s="19">
        <f t="shared" si="6"/>
        <v>13614.12</v>
      </c>
      <c r="Q23" s="19">
        <f t="shared" si="7"/>
        <v>6807.06</v>
      </c>
      <c r="R23" s="19">
        <v>6807.06</v>
      </c>
      <c r="S23" s="19">
        <f t="shared" si="8"/>
        <v>6807.06</v>
      </c>
    </row>
    <row r="24" spans="1:19" ht="44.25" customHeight="1">
      <c r="A24" s="2">
        <v>18</v>
      </c>
      <c r="B24" s="1" t="s">
        <v>4</v>
      </c>
      <c r="C24" s="1">
        <v>55</v>
      </c>
      <c r="D24" s="1">
        <v>20</v>
      </c>
      <c r="E24" s="1">
        <v>20</v>
      </c>
      <c r="F24" s="19">
        <f t="shared" si="10"/>
        <v>1</v>
      </c>
      <c r="G24" s="19">
        <f>F24*C24</f>
        <v>55</v>
      </c>
      <c r="H24" s="1">
        <v>40</v>
      </c>
      <c r="I24" s="1">
        <v>0</v>
      </c>
      <c r="J24" s="19">
        <f t="shared" si="9"/>
        <v>95</v>
      </c>
      <c r="K24" s="1">
        <f>45+2</f>
        <v>47</v>
      </c>
      <c r="L24" s="19">
        <f t="shared" si="5"/>
        <v>142</v>
      </c>
      <c r="M24" s="19">
        <f t="shared" si="1"/>
        <v>5362.2729388356365</v>
      </c>
      <c r="N24" s="19">
        <f t="shared" si="2"/>
        <v>5008.847888860233</v>
      </c>
      <c r="O24" s="19">
        <f t="shared" si="3"/>
        <v>10371.12082769587</v>
      </c>
      <c r="P24" s="19">
        <f t="shared" si="6"/>
        <v>10371.12</v>
      </c>
      <c r="Q24" s="19">
        <f t="shared" si="7"/>
        <v>5185.56</v>
      </c>
      <c r="R24" s="19">
        <v>5185.56</v>
      </c>
      <c r="S24" s="19">
        <f t="shared" si="8"/>
        <v>5185.56</v>
      </c>
    </row>
    <row r="25" spans="1:19" ht="37.5" customHeight="1">
      <c r="A25" s="2">
        <v>19</v>
      </c>
      <c r="B25" s="1" t="s">
        <v>22</v>
      </c>
      <c r="C25" s="1">
        <f>261-4-2-2</f>
        <v>253</v>
      </c>
      <c r="D25" s="1">
        <v>115</v>
      </c>
      <c r="E25" s="1">
        <f>115-10-10-10</f>
        <v>85</v>
      </c>
      <c r="F25" s="19">
        <f t="shared" si="10"/>
        <v>0.7391304347826086</v>
      </c>
      <c r="G25" s="19">
        <f>F25*C25</f>
        <v>187</v>
      </c>
      <c r="H25" s="1">
        <f>300-60</f>
        <v>240</v>
      </c>
      <c r="I25" s="1">
        <v>40</v>
      </c>
      <c r="J25" s="19">
        <f t="shared" si="9"/>
        <v>467</v>
      </c>
      <c r="K25" s="1">
        <f>218+4.38-15-20-15-15</f>
        <v>157.38</v>
      </c>
      <c r="L25" s="19">
        <f>J25+K25</f>
        <v>624.38</v>
      </c>
      <c r="M25" s="19">
        <f t="shared" si="1"/>
        <v>26359.80486774992</v>
      </c>
      <c r="N25" s="19">
        <f t="shared" si="2"/>
        <v>16772.18044146433</v>
      </c>
      <c r="O25" s="19">
        <f t="shared" si="3"/>
        <v>43131.98530921425</v>
      </c>
      <c r="P25" s="19">
        <v>43131.98</v>
      </c>
      <c r="Q25" s="19">
        <f t="shared" si="7"/>
        <v>21565.99</v>
      </c>
      <c r="R25" s="19">
        <v>21565.99</v>
      </c>
      <c r="S25" s="19">
        <f t="shared" si="8"/>
        <v>21565.99</v>
      </c>
    </row>
    <row r="26" spans="1:19" ht="37.5" customHeight="1">
      <c r="A26" s="2">
        <v>20</v>
      </c>
      <c r="B26" s="1" t="s">
        <v>27</v>
      </c>
      <c r="C26" s="1">
        <f>126-4-4+20</f>
        <v>138</v>
      </c>
      <c r="D26" s="1">
        <v>40</v>
      </c>
      <c r="E26" s="1">
        <v>50</v>
      </c>
      <c r="F26" s="19">
        <f t="shared" si="10"/>
        <v>1.25</v>
      </c>
      <c r="G26" s="19">
        <f>C26</f>
        <v>138</v>
      </c>
      <c r="H26" s="1">
        <f>40+20</f>
        <v>60</v>
      </c>
      <c r="I26" s="1">
        <v>0</v>
      </c>
      <c r="J26" s="19">
        <f>G26+H26+I26</f>
        <v>198</v>
      </c>
      <c r="K26" s="1">
        <f>95+3.75-2-10+9+15+10</f>
        <v>120.75</v>
      </c>
      <c r="L26" s="19">
        <f>J26+K26</f>
        <v>318.75</v>
      </c>
      <c r="M26" s="19">
        <f t="shared" si="1"/>
        <v>11176.105704099538</v>
      </c>
      <c r="N26" s="19">
        <f t="shared" si="2"/>
        <v>12868.476225103685</v>
      </c>
      <c r="O26" s="19">
        <f t="shared" si="3"/>
        <v>24044.581929203225</v>
      </c>
      <c r="P26" s="19">
        <f t="shared" si="6"/>
        <v>24044.58</v>
      </c>
      <c r="Q26" s="19">
        <f t="shared" si="7"/>
        <v>12022.29</v>
      </c>
      <c r="R26" s="19">
        <v>12022.29</v>
      </c>
      <c r="S26" s="19">
        <f t="shared" si="8"/>
        <v>12022.29</v>
      </c>
    </row>
    <row r="27" spans="1:19" ht="37.5" customHeight="1">
      <c r="A27" s="2">
        <v>21</v>
      </c>
      <c r="B27" s="1" t="s">
        <v>32</v>
      </c>
      <c r="C27" s="1">
        <v>50</v>
      </c>
      <c r="D27" s="1">
        <v>21</v>
      </c>
      <c r="E27" s="1">
        <v>22</v>
      </c>
      <c r="F27" s="19">
        <f t="shared" si="10"/>
        <v>1.0476190476190477</v>
      </c>
      <c r="G27" s="19">
        <f>C27</f>
        <v>50</v>
      </c>
      <c r="H27" s="1">
        <v>40</v>
      </c>
      <c r="I27" s="1">
        <v>0</v>
      </c>
      <c r="J27" s="19">
        <f>G27+H27+I27</f>
        <v>90</v>
      </c>
      <c r="K27" s="1">
        <f>55+2</f>
        <v>57</v>
      </c>
      <c r="L27" s="19">
        <f>J27+K27</f>
        <v>147</v>
      </c>
      <c r="M27" s="19">
        <f t="shared" si="1"/>
        <v>5080.048047317971</v>
      </c>
      <c r="N27" s="19">
        <f t="shared" si="2"/>
        <v>6074.560205639006</v>
      </c>
      <c r="O27" s="19">
        <f t="shared" si="3"/>
        <v>11154.608252956978</v>
      </c>
      <c r="P27" s="19">
        <f t="shared" si="6"/>
        <v>11154.61</v>
      </c>
      <c r="Q27" s="19">
        <f t="shared" si="7"/>
        <v>5577.305</v>
      </c>
      <c r="R27" s="19">
        <v>5577.31</v>
      </c>
      <c r="S27" s="19">
        <f t="shared" si="8"/>
        <v>5577.3</v>
      </c>
    </row>
    <row r="28" spans="1:19" ht="37.5" customHeight="1">
      <c r="A28" s="2">
        <v>22</v>
      </c>
      <c r="B28" s="1" t="s">
        <v>37</v>
      </c>
      <c r="C28" s="1">
        <v>140</v>
      </c>
      <c r="D28" s="1">
        <v>50</v>
      </c>
      <c r="E28" s="1">
        <v>50</v>
      </c>
      <c r="F28" s="19">
        <f t="shared" si="10"/>
        <v>1</v>
      </c>
      <c r="G28" s="19">
        <f>F28*C28</f>
        <v>140</v>
      </c>
      <c r="H28" s="1">
        <v>40</v>
      </c>
      <c r="I28" s="1">
        <v>0</v>
      </c>
      <c r="J28" s="19">
        <f>G28+H28+I28</f>
        <v>180</v>
      </c>
      <c r="K28" s="1">
        <f>90+2</f>
        <v>92</v>
      </c>
      <c r="L28" s="19">
        <f>J28+K28</f>
        <v>272</v>
      </c>
      <c r="M28" s="19">
        <f t="shared" si="1"/>
        <v>10160.096094635943</v>
      </c>
      <c r="N28" s="19">
        <f t="shared" si="2"/>
        <v>9804.553314364712</v>
      </c>
      <c r="O28" s="19">
        <f t="shared" si="3"/>
        <v>19964.649409000653</v>
      </c>
      <c r="P28" s="19">
        <f t="shared" si="6"/>
        <v>19964.65</v>
      </c>
      <c r="Q28" s="19">
        <f t="shared" si="7"/>
        <v>9982.325</v>
      </c>
      <c r="R28" s="19">
        <v>9982.33</v>
      </c>
      <c r="S28" s="19">
        <f t="shared" si="8"/>
        <v>9982.320000000002</v>
      </c>
    </row>
    <row r="29" spans="1:19" ht="32.25" customHeight="1">
      <c r="A29" s="2">
        <v>23</v>
      </c>
      <c r="B29" s="1" t="s">
        <v>38</v>
      </c>
      <c r="C29" s="1">
        <v>95</v>
      </c>
      <c r="D29" s="1">
        <v>34</v>
      </c>
      <c r="E29" s="1">
        <f>32.5+10+10+10+5</f>
        <v>67.5</v>
      </c>
      <c r="F29" s="19">
        <f>E29/D29</f>
        <v>1.9852941176470589</v>
      </c>
      <c r="G29" s="19">
        <f>C29</f>
        <v>95</v>
      </c>
      <c r="H29" s="1">
        <f>60-20</f>
        <v>40</v>
      </c>
      <c r="I29" s="1">
        <v>0</v>
      </c>
      <c r="J29" s="19">
        <f>I29+H29+G29</f>
        <v>135</v>
      </c>
      <c r="K29" s="1">
        <f>19+45+2.5+2+15+15+15+7.5</f>
        <v>121</v>
      </c>
      <c r="L29" s="19">
        <f>J29+K29</f>
        <v>256</v>
      </c>
      <c r="M29" s="19">
        <f t="shared" si="1"/>
        <v>7620.072070976958</v>
      </c>
      <c r="N29" s="19">
        <f t="shared" si="2"/>
        <v>12895.119033023155</v>
      </c>
      <c r="O29" s="19">
        <f t="shared" si="3"/>
        <v>20515.191104000114</v>
      </c>
      <c r="P29" s="19">
        <f t="shared" si="6"/>
        <v>20515.19</v>
      </c>
      <c r="Q29" s="19">
        <f t="shared" si="7"/>
        <v>10257.595</v>
      </c>
      <c r="R29" s="19">
        <v>10257.6</v>
      </c>
      <c r="S29" s="19">
        <f t="shared" si="8"/>
        <v>10257.589999999998</v>
      </c>
    </row>
    <row r="30" spans="1:19" ht="33" customHeight="1">
      <c r="A30" s="2">
        <v>24</v>
      </c>
      <c r="B30" s="1" t="s">
        <v>40</v>
      </c>
      <c r="C30" s="1">
        <v>70</v>
      </c>
      <c r="D30" s="1">
        <v>28</v>
      </c>
      <c r="E30" s="1">
        <v>35</v>
      </c>
      <c r="F30" s="19">
        <f t="shared" si="10"/>
        <v>1.25</v>
      </c>
      <c r="G30" s="19">
        <f>C30</f>
        <v>70</v>
      </c>
      <c r="H30" s="1">
        <v>60</v>
      </c>
      <c r="I30" s="1">
        <v>0</v>
      </c>
      <c r="J30" s="19">
        <f>G30+H30+I30</f>
        <v>130</v>
      </c>
      <c r="K30" s="1">
        <f>77+3.28</f>
        <v>80.28</v>
      </c>
      <c r="L30" s="19">
        <f t="shared" si="5"/>
        <v>210.28</v>
      </c>
      <c r="M30" s="19">
        <f t="shared" si="1"/>
        <v>7337.847179459292</v>
      </c>
      <c r="N30" s="19">
        <f t="shared" si="2"/>
        <v>8555.53847909999</v>
      </c>
      <c r="O30" s="19">
        <f t="shared" si="3"/>
        <v>15893.385658559284</v>
      </c>
      <c r="P30" s="19">
        <f t="shared" si="6"/>
        <v>15893.39</v>
      </c>
      <c r="Q30" s="19">
        <f t="shared" si="7"/>
        <v>7946.695</v>
      </c>
      <c r="R30" s="19">
        <v>7946.7</v>
      </c>
      <c r="S30" s="19">
        <f t="shared" si="8"/>
        <v>7946.69</v>
      </c>
    </row>
    <row r="31" spans="1:19" ht="56.25" customHeight="1">
      <c r="A31" s="2">
        <v>25</v>
      </c>
      <c r="B31" s="1" t="s">
        <v>19</v>
      </c>
      <c r="C31" s="1">
        <v>255</v>
      </c>
      <c r="D31" s="1">
        <v>95</v>
      </c>
      <c r="E31" s="1">
        <f>106-2</f>
        <v>104</v>
      </c>
      <c r="F31" s="19">
        <f t="shared" si="10"/>
        <v>1.0947368421052632</v>
      </c>
      <c r="G31" s="19">
        <f>C31</f>
        <v>255</v>
      </c>
      <c r="H31" s="1">
        <v>60</v>
      </c>
      <c r="I31" s="1">
        <v>40</v>
      </c>
      <c r="J31" s="19">
        <f>G31+H31+I31</f>
        <v>355</v>
      </c>
      <c r="K31" s="1">
        <f>175-10</f>
        <v>165</v>
      </c>
      <c r="L31" s="19">
        <f t="shared" si="5"/>
        <v>520</v>
      </c>
      <c r="M31" s="19">
        <f t="shared" si="1"/>
        <v>20037.96729775422</v>
      </c>
      <c r="N31" s="19">
        <f t="shared" si="2"/>
        <v>17584.253226849756</v>
      </c>
      <c r="O31" s="19">
        <f t="shared" si="3"/>
        <v>37622.22052460398</v>
      </c>
      <c r="P31" s="19">
        <v>37622.21</v>
      </c>
      <c r="Q31" s="19">
        <f t="shared" si="7"/>
        <v>18811.105</v>
      </c>
      <c r="R31" s="19">
        <v>18811.11</v>
      </c>
      <c r="S31" s="19">
        <f t="shared" si="8"/>
        <v>18811.1</v>
      </c>
    </row>
    <row r="32" spans="1:19" ht="27.75" customHeight="1">
      <c r="A32" s="2"/>
      <c r="B32" s="1" t="s">
        <v>7</v>
      </c>
      <c r="C32" s="19">
        <f>SUM(C7:C31)</f>
        <v>3209</v>
      </c>
      <c r="D32" s="19">
        <f>SUM(D7:D31)</f>
        <v>1172</v>
      </c>
      <c r="E32" s="19">
        <f>SUM(E7:E31)</f>
        <v>1275.5</v>
      </c>
      <c r="F32" s="19"/>
      <c r="G32" s="19">
        <f>SUM(G7:G31)</f>
        <v>2949.835714285714</v>
      </c>
      <c r="H32" s="1">
        <f>SUM(H7:H31)</f>
        <v>1380</v>
      </c>
      <c r="I32" s="1">
        <f>SUM(I8:I31)</f>
        <v>136</v>
      </c>
      <c r="J32" s="19">
        <f aca="true" t="shared" si="11" ref="J32:O32">SUM(J7:J31)</f>
        <v>4465.835714285714</v>
      </c>
      <c r="K32" s="19">
        <f t="shared" si="11"/>
        <v>2365.3100000000004</v>
      </c>
      <c r="L32" s="19">
        <f t="shared" si="11"/>
        <v>6831.145714285714</v>
      </c>
      <c r="M32" s="19">
        <f t="shared" si="11"/>
        <v>252074.00000000006</v>
      </c>
      <c r="N32" s="19">
        <f t="shared" si="11"/>
        <v>252073.99999999997</v>
      </c>
      <c r="O32" s="19">
        <f t="shared" si="11"/>
        <v>504148</v>
      </c>
      <c r="P32" s="19">
        <f>SUM(P7:P31)</f>
        <v>504148.00000000006</v>
      </c>
      <c r="Q32" s="19">
        <f>SUM(Q7:Q31)</f>
        <v>252074.00000000003</v>
      </c>
      <c r="R32" s="19">
        <f>SUM(R7:R31)</f>
        <v>252074</v>
      </c>
      <c r="S32" s="19">
        <f>SUM(S7:S31)</f>
        <v>252073.99999999997</v>
      </c>
    </row>
    <row r="33" spans="1:15" ht="24.75" customHeight="1">
      <c r="A33" s="4"/>
      <c r="D33" s="6"/>
      <c r="E33" s="6"/>
      <c r="F33" s="6"/>
      <c r="G33" s="25"/>
      <c r="H33" s="4"/>
      <c r="I33" s="4"/>
      <c r="J33" s="6"/>
      <c r="K33" s="6"/>
      <c r="L33" s="6"/>
      <c r="M33" s="6"/>
      <c r="N33" s="6"/>
      <c r="O33" s="6"/>
    </row>
    <row r="34" spans="1:16" ht="30" customHeight="1">
      <c r="A34" s="4"/>
      <c r="B34" s="5" t="s">
        <v>47</v>
      </c>
      <c r="C34" s="3">
        <v>1405000</v>
      </c>
      <c r="D34" s="33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  <c r="P34" s="21"/>
    </row>
    <row r="35" spans="1:15" ht="30" customHeight="1">
      <c r="A35" s="4"/>
      <c r="B35" s="5" t="s">
        <v>48</v>
      </c>
      <c r="C35" s="3">
        <v>842956</v>
      </c>
      <c r="D35" s="33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</row>
    <row r="36" spans="1:15" ht="29.25" customHeight="1">
      <c r="A36" s="4"/>
      <c r="B36" s="5" t="s">
        <v>49</v>
      </c>
      <c r="C36" s="3">
        <f>C34-C35</f>
        <v>562044</v>
      </c>
      <c r="D36" s="33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5" ht="21.75" customHeight="1">
      <c r="A37" s="4"/>
      <c r="B37" s="5"/>
      <c r="C37" s="3"/>
      <c r="D37" s="33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</row>
    <row r="38" spans="1:15" ht="25.5" customHeight="1">
      <c r="A38" s="4"/>
      <c r="B38" s="5" t="s">
        <v>41</v>
      </c>
      <c r="C38" s="29" t="s">
        <v>42</v>
      </c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</row>
    <row r="39" spans="1:15" ht="49.5" customHeight="1">
      <c r="A39" s="4"/>
      <c r="B39" s="32" t="s">
        <v>52</v>
      </c>
      <c r="C39" s="3">
        <f>C34*10.3%</f>
        <v>144715</v>
      </c>
      <c r="D39" s="33"/>
      <c r="E39" s="6"/>
      <c r="F39" s="6"/>
      <c r="G39" s="6"/>
      <c r="H39" s="4"/>
      <c r="I39" s="4"/>
      <c r="J39" s="6"/>
      <c r="K39" s="6"/>
      <c r="L39" s="6"/>
      <c r="M39" s="6"/>
      <c r="N39" s="6"/>
      <c r="O39" s="6"/>
    </row>
    <row r="40" spans="1:15" ht="24.75" customHeight="1">
      <c r="A40" s="4"/>
      <c r="B40" s="30" t="s">
        <v>50</v>
      </c>
      <c r="C40" s="3">
        <v>86819</v>
      </c>
      <c r="D40" s="33"/>
      <c r="E40" s="6"/>
      <c r="F40" s="6"/>
      <c r="G40" s="6"/>
      <c r="H40" s="4"/>
      <c r="I40" s="4"/>
      <c r="J40" s="6"/>
      <c r="K40" s="6"/>
      <c r="L40" s="6"/>
      <c r="M40" s="6"/>
      <c r="N40" s="6"/>
      <c r="O40" s="6"/>
    </row>
    <row r="41" spans="1:15" ht="33.75" customHeight="1">
      <c r="A41" s="4"/>
      <c r="B41" s="31" t="s">
        <v>51</v>
      </c>
      <c r="C41" s="3">
        <f>C39-C40</f>
        <v>57896</v>
      </c>
      <c r="D41" s="33"/>
      <c r="E41" s="6"/>
      <c r="F41" s="6"/>
      <c r="G41" s="6"/>
      <c r="H41" s="4"/>
      <c r="I41" s="4"/>
      <c r="J41" s="6"/>
      <c r="K41" s="6"/>
      <c r="L41" s="6"/>
      <c r="M41" s="6"/>
      <c r="N41" s="6"/>
      <c r="O41" s="6"/>
    </row>
    <row r="42" spans="1:15" ht="18.75" customHeight="1">
      <c r="A42" s="4"/>
      <c r="B42" s="5"/>
      <c r="C42" s="3"/>
      <c r="D42" s="33"/>
      <c r="E42" s="6"/>
      <c r="F42" s="6"/>
      <c r="G42" s="6"/>
      <c r="H42" s="4"/>
      <c r="I42" s="4"/>
      <c r="J42" s="6"/>
      <c r="K42" s="6"/>
      <c r="L42" s="6"/>
      <c r="M42" s="6"/>
      <c r="N42" s="6"/>
      <c r="O42" s="6"/>
    </row>
    <row r="43" spans="1:15" ht="33.75" customHeight="1">
      <c r="A43" s="4"/>
      <c r="B43" s="8" t="s">
        <v>53</v>
      </c>
      <c r="C43" s="3">
        <f>C34-C39</f>
        <v>1260285</v>
      </c>
      <c r="D43" s="33"/>
      <c r="E43" s="6"/>
      <c r="F43" s="6"/>
      <c r="G43" s="6"/>
      <c r="H43" s="4"/>
      <c r="I43" s="4"/>
      <c r="J43" s="6"/>
      <c r="K43" s="6"/>
      <c r="L43" s="6"/>
      <c r="M43" s="6"/>
      <c r="N43" s="6"/>
      <c r="O43" s="6"/>
    </row>
    <row r="44" spans="1:15" ht="24" customHeight="1">
      <c r="A44" s="4"/>
      <c r="B44" s="31" t="s">
        <v>54</v>
      </c>
      <c r="C44" s="3">
        <v>756137</v>
      </c>
      <c r="D44" s="33"/>
      <c r="E44" s="26"/>
      <c r="F44" s="6"/>
      <c r="G44" s="6"/>
      <c r="H44" s="4"/>
      <c r="I44" s="4"/>
      <c r="J44" s="6"/>
      <c r="K44" s="6"/>
      <c r="L44" s="6"/>
      <c r="M44" s="6"/>
      <c r="N44" s="6"/>
      <c r="O44" s="6"/>
    </row>
    <row r="45" spans="1:12" ht="33" customHeight="1">
      <c r="A45" s="4"/>
      <c r="B45" s="5" t="s">
        <v>55</v>
      </c>
      <c r="C45" s="3">
        <f>C43-C44</f>
        <v>504148</v>
      </c>
      <c r="D45" s="21"/>
      <c r="E45" s="27"/>
      <c r="F45" s="22"/>
      <c r="G45" s="11"/>
      <c r="J45" s="16"/>
      <c r="K45" s="16"/>
      <c r="L45" s="16"/>
    </row>
    <row r="46" spans="1:13" ht="22.5" customHeight="1">
      <c r="A46" s="4"/>
      <c r="B46" s="12" t="s">
        <v>31</v>
      </c>
      <c r="D46" s="3">
        <f>C45/2</f>
        <v>252074</v>
      </c>
      <c r="E46" s="13"/>
      <c r="F46" s="8"/>
      <c r="G46" s="11"/>
      <c r="J46" s="11"/>
      <c r="L46" s="11"/>
      <c r="M46" s="11"/>
    </row>
    <row r="47" spans="1:13" ht="24" customHeight="1">
      <c r="A47" s="4"/>
      <c r="B47" s="12" t="s">
        <v>56</v>
      </c>
      <c r="D47" s="14">
        <f>D46/J32</f>
        <v>56.44497830353302</v>
      </c>
      <c r="E47" s="13"/>
      <c r="J47" s="11"/>
      <c r="L47" s="11"/>
      <c r="M47" s="11"/>
    </row>
    <row r="48" spans="1:13" ht="21" customHeight="1">
      <c r="A48" s="4"/>
      <c r="B48" s="12" t="s">
        <v>44</v>
      </c>
      <c r="D48" s="3">
        <f>C45/2</f>
        <v>252074</v>
      </c>
      <c r="E48" s="15"/>
      <c r="J48" s="11"/>
      <c r="L48" s="11"/>
      <c r="M48" s="11"/>
    </row>
    <row r="49" spans="1:12" ht="18.75" customHeight="1">
      <c r="A49" s="4"/>
      <c r="B49" s="12" t="s">
        <v>57</v>
      </c>
      <c r="D49" s="14">
        <f>D48/K32</f>
        <v>106.57123167787731</v>
      </c>
      <c r="E49" s="15"/>
      <c r="F49" s="9"/>
      <c r="J49" s="11"/>
      <c r="K49" s="10"/>
      <c r="L49" s="34"/>
    </row>
    <row r="50" spans="1:6" ht="19.5" customHeight="1">
      <c r="A50" s="12"/>
      <c r="B50" s="12"/>
      <c r="D50" s="14"/>
      <c r="E50" s="15"/>
      <c r="F50" s="9"/>
    </row>
    <row r="51" ht="14.25">
      <c r="B51" s="12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1" r:id="rId1"/>
  <headerFooter alignWithMargins="0">
    <oddFooter>&amp;C&amp;P</oddFooter>
  </headerFooter>
  <rowBreaks count="1" manualBreakCount="1">
    <brk id="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2021-04-02T07:34:10Z</cp:lastPrinted>
  <dcterms:created xsi:type="dcterms:W3CDTF">2008-04-09T11:23:43Z</dcterms:created>
  <dcterms:modified xsi:type="dcterms:W3CDTF">2021-04-05T06:56:29Z</dcterms:modified>
  <cp:category/>
  <cp:version/>
  <cp:contentType/>
  <cp:contentStatus/>
</cp:coreProperties>
</file>